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-2" sheetId="4" r:id="rId4"/>
    <sheet name="січень" sheetId="5" r:id="rId5"/>
  </sheets>
  <definedNames>
    <definedName name="_xlnm.Print_Area" localSheetId="4">'січень'!$A$1:$R$87</definedName>
  </definedNames>
  <calcPr fullCalcOnLoad="1"/>
</workbook>
</file>

<file path=xl/sharedStrings.xml><?xml version="1.0" encoding="utf-8"?>
<sst xmlns="http://schemas.openxmlformats.org/spreadsheetml/2006/main" count="628" uniqueCount="157">
  <si>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</si>
  <si>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</si>
  <si>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</si>
  <si>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</si>
  <si>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</si>
  <si>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</si>
  <si>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</si>
  <si>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</si>
  <si>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</si>
  <si>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</si>
  <si>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</si>
  <si>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</si>
  <si>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</si>
  <si>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</si>
  <si>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</si>
  <si>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</si>
  <si>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</si>
  <si>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</si>
  <si>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</si>
  <si>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</si>
  <si>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</si>
  <si>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</si>
  <si>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</si>
  <si>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</si>
  <si>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</si>
  <si>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</si>
  <si>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</si>
  <si>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</si>
  <si>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</si>
  <si>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</si>
  <si>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</si>
  <si>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</si>
  <si>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</si>
  <si>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</si>
  <si>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</si>
  <si>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</si>
  <si>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</si>
  <si>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</si>
  <si>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</si>
  <si>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</si>
  <si>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</si>
  <si>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</si>
  <si>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</si>
  <si>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</si>
  <si>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</si>
  <si>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</si>
  <si>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</si>
  <si>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</si>
  <si>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</si>
  <si>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</si>
  <si>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</si>
  <si>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</si>
  <si>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</si>
  <si>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</si>
  <si>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</si>
  <si>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</si>
  <si>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</si>
  <si>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</si>
  <si>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</si>
  <si>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</si>
  <si>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</si>
  <si>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</si>
  <si>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</si>
  <si>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</si>
  <si>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</si>
  <si>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</si>
  <si>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</si>
  <si>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</si>
  <si>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</si>
  <si>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</si>
  <si>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</si>
  <si>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</si>
  <si>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</si>
  <si>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</si>
  <si>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</si>
  <si>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</si>
  <si>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</si>
  <si>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</si>
  <si>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</si>
  <si>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</si>
  <si>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</si>
  <si>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</si>
  <si>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</si>
  <si>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</si>
  <si>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</si>
  <si>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</si>
  <si>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</si>
  <si>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</si>
  <si>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</si>
  <si>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</si>
  <si>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</si>
  <si>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</si>
  <si>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</si>
  <si>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</si>
  <si>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</si>
  <si>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</si>
  <si>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</si>
  <si>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</si>
  <si>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</si>
  <si>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</si>
  <si>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</si>
  <si>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</si>
  <si>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</si>
  <si>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</si>
  <si>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</si>
  <si>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</si>
  <si>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</si>
  <si>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</si>
  <si>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</si>
  <si>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</si>
  <si>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</si>
  <si>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</si>
  <si>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</si>
  <si>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</si>
  <si>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</si>
  <si>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</si>
  <si>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</si>
  <si>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</si>
  <si>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</si>
  <si>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</si>
  <si>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</si>
  <si>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</si>
  <si>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</si>
  <si>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</si>
  <si>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</si>
  <si>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</si>
  <si>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</si>
  <si>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</si>
  <si>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</si>
  <si>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</si>
  <si>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</si>
  <si>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</si>
  <si>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</si>
  <si>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</si>
  <si>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</si>
  <si>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</si>
  <si>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</si>
  <si>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</si>
  <si>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</si>
  <si>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</si>
  <si>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</si>
  <si>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</si>
  <si>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</si>
  <si>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</si>
  <si>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</si>
  <si>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</si>
  <si>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</si>
  <si>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</si>
  <si>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</si>
  <si>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</si>
  <si>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04.04.2016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</si>
  <si>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01.04.16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</si>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</sst>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7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6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3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4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7"/>
  <sheetViews>
    <sheetView tabSelected="1" zoomScale="88" zoomScaleNormal="8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2" sqref="D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09" t="s">
        <v>150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155</v>
      </c>
      <c r="N3" s="220" t="s">
        <v>156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152</v>
      </c>
      <c r="F4" s="203" t="s">
        <v>34</v>
      </c>
      <c r="G4" s="197" t="s">
        <v>153</v>
      </c>
      <c r="H4" s="205" t="s">
        <v>154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151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78.7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144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271674.68</v>
      </c>
      <c r="F8" s="15">
        <f>F9+F15+F18+F19+F20+F32+F17</f>
        <v>210844.13</v>
      </c>
      <c r="G8" s="15">
        <f aca="true" t="shared" si="0" ref="G8:G21">F8-E8</f>
        <v>-60830.54999999999</v>
      </c>
      <c r="H8" s="38">
        <f>F8/E8*100</f>
        <v>77.60904696749805</v>
      </c>
      <c r="I8" s="28">
        <f>F8-D8</f>
        <v>-630205.87</v>
      </c>
      <c r="J8" s="28">
        <f>F8/D8*100</f>
        <v>25.06915522263837</v>
      </c>
      <c r="K8" s="15">
        <f>F8-139482.78</f>
        <v>71361.35</v>
      </c>
      <c r="L8" s="15">
        <f>F8/139482.78*100</f>
        <v>151.16140501357947</v>
      </c>
      <c r="M8" s="15">
        <f>M9+M15+M18+M19+M20+M32+M17</f>
        <v>71360.49999999999</v>
      </c>
      <c r="N8" s="15">
        <f>N9+N15+N18+N19+N20+N32+N17</f>
        <v>1056.4199999999837</v>
      </c>
      <c r="O8" s="15">
        <f>N8-M8</f>
        <v>-70304.08</v>
      </c>
      <c r="P8" s="15">
        <f>N8/M8*100</f>
        <v>1.4803988200755094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145783.27</v>
      </c>
      <c r="F9" s="170">
        <v>112943.2</v>
      </c>
      <c r="G9" s="36">
        <f t="shared" si="0"/>
        <v>-32840.06999999999</v>
      </c>
      <c r="H9" s="32">
        <f>F9/E9*100</f>
        <v>77.47336165528459</v>
      </c>
      <c r="I9" s="42">
        <f>F9-D9</f>
        <v>-346756.8</v>
      </c>
      <c r="J9" s="42">
        <f>F9/D9*100</f>
        <v>24.56889275614531</v>
      </c>
      <c r="K9" s="106">
        <f>F9-78437.5</f>
        <v>34505.7</v>
      </c>
      <c r="L9" s="106">
        <f>F9/78437.5*100</f>
        <v>143.99133067729085</v>
      </c>
      <c r="M9" s="32">
        <f>E9-березень!E9</f>
        <v>39799.999999999985</v>
      </c>
      <c r="N9" s="178">
        <f>F9-березень!F9</f>
        <v>661.3799999999901</v>
      </c>
      <c r="O9" s="40">
        <f>N9-M9</f>
        <v>-39138.619999999995</v>
      </c>
      <c r="P9" s="42">
        <f>N9/M9*100</f>
        <v>1.6617587939698248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99081.13</v>
      </c>
      <c r="G10" s="109">
        <f t="shared" si="0"/>
        <v>-31835.709999999992</v>
      </c>
      <c r="H10" s="32">
        <f aca="true" t="shared" si="1" ref="H10:H31">F10/E10*100</f>
        <v>75.68249432234998</v>
      </c>
      <c r="I10" s="110">
        <f aca="true" t="shared" si="2" ref="I10:I32">F10-D10</f>
        <v>-312358.87</v>
      </c>
      <c r="J10" s="110">
        <f aca="true" t="shared" si="3" ref="J10:J31">F10/D10*100</f>
        <v>24.08155016527319</v>
      </c>
      <c r="K10" s="112">
        <f>F10-69239.48</f>
        <v>29841.65000000001</v>
      </c>
      <c r="L10" s="112">
        <f>F10/69239.48*100</f>
        <v>143.09918272060972</v>
      </c>
      <c r="M10" s="111">
        <f>E10-березень!E10</f>
        <v>36300</v>
      </c>
      <c r="N10" s="179">
        <f>F10-березень!F10</f>
        <v>616.75</v>
      </c>
      <c r="O10" s="112">
        <f aca="true" t="shared" si="4" ref="O10:O32">N10-M10</f>
        <v>-35683.25</v>
      </c>
      <c r="P10" s="42">
        <f aca="true" t="shared" si="5" ref="P10:P25">N10/M10*100</f>
        <v>1.6990358126721763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8077.11</v>
      </c>
      <c r="G11" s="109">
        <f t="shared" si="0"/>
        <v>-557.8300000000008</v>
      </c>
      <c r="H11" s="32">
        <f t="shared" si="1"/>
        <v>93.53985088489323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E11-березень!E11</f>
        <v>1550.000000000001</v>
      </c>
      <c r="N11" s="179">
        <f>F11-березень!F11</f>
        <v>0</v>
      </c>
      <c r="O11" s="112">
        <f t="shared" si="4"/>
        <v>-1550.000000000001</v>
      </c>
      <c r="P11" s="42">
        <f t="shared" si="5"/>
        <v>0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2395</v>
      </c>
      <c r="G12" s="109">
        <f t="shared" si="0"/>
        <v>704.3900000000001</v>
      </c>
      <c r="H12" s="32">
        <f t="shared" si="1"/>
        <v>141.6648428673674</v>
      </c>
      <c r="I12" s="110">
        <f t="shared" si="2"/>
        <v>-4105</v>
      </c>
      <c r="J12" s="110">
        <f t="shared" si="3"/>
        <v>36.84615384615385</v>
      </c>
      <c r="K12" s="112">
        <f>F12-1215.38</f>
        <v>1179.62</v>
      </c>
      <c r="L12" s="112">
        <f>F12/1215.38*100</f>
        <v>197.05771034573547</v>
      </c>
      <c r="M12" s="111">
        <f>E12-березень!E12</f>
        <v>585</v>
      </c>
      <c r="N12" s="179">
        <f>F12-березень!F12</f>
        <v>15.5300000000002</v>
      </c>
      <c r="O12" s="112">
        <f t="shared" si="4"/>
        <v>-569.4699999999998</v>
      </c>
      <c r="P12" s="42">
        <f t="shared" si="5"/>
        <v>2.654700854700889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2454.03</v>
      </c>
      <c r="G13" s="109">
        <f t="shared" si="0"/>
        <v>-210.80999999999995</v>
      </c>
      <c r="H13" s="32">
        <f t="shared" si="1"/>
        <v>92.08920610618274</v>
      </c>
      <c r="I13" s="110">
        <f t="shared" si="2"/>
        <v>-9945.97</v>
      </c>
      <c r="J13" s="110">
        <f t="shared" si="3"/>
        <v>19.790564516129034</v>
      </c>
      <c r="K13" s="112">
        <f>F13-1220.33</f>
        <v>1233.7000000000003</v>
      </c>
      <c r="L13" s="112">
        <f>F13/1220.33*100</f>
        <v>201.09560528709451</v>
      </c>
      <c r="M13" s="111">
        <f>E13-березень!E13</f>
        <v>755.0000000000002</v>
      </c>
      <c r="N13" s="179">
        <f>F13-березень!F13</f>
        <v>29.090000000000146</v>
      </c>
      <c r="O13" s="112">
        <f t="shared" si="4"/>
        <v>-725.9100000000001</v>
      </c>
      <c r="P13" s="42">
        <f t="shared" si="5"/>
        <v>3.852980132450349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935.92</v>
      </c>
      <c r="G14" s="109">
        <f t="shared" si="0"/>
        <v>-940.12</v>
      </c>
      <c r="H14" s="32">
        <f t="shared" si="1"/>
        <v>49.888062088228395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E14-березень!E14</f>
        <v>610</v>
      </c>
      <c r="N14" s="179">
        <f>F14-березень!F14</f>
        <v>0</v>
      </c>
      <c r="O14" s="112">
        <f t="shared" si="4"/>
        <v>-610</v>
      </c>
      <c r="P14" s="42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120</v>
      </c>
      <c r="F15" s="170">
        <v>185.06</v>
      </c>
      <c r="G15" s="36">
        <f t="shared" si="0"/>
        <v>65.06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E15-березень!E15</f>
        <v>10</v>
      </c>
      <c r="N15" s="178">
        <f>F15-березень!F15</f>
        <v>0</v>
      </c>
      <c r="O15" s="40">
        <f t="shared" si="4"/>
        <v>-10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E17-березень!E17</f>
        <v>0</v>
      </c>
      <c r="N17" s="178">
        <f>F17-березень!F17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E18-березень!E18</f>
        <v>0</v>
      </c>
      <c r="N18" s="178">
        <f>F18-березень!F18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28560.4</v>
      </c>
      <c r="F19" s="172">
        <v>18270.89</v>
      </c>
      <c r="G19" s="36">
        <f t="shared" si="0"/>
        <v>-10289.510000000002</v>
      </c>
      <c r="H19" s="32">
        <f t="shared" si="1"/>
        <v>63.972808504082565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E19-березень!E19</f>
        <v>8500</v>
      </c>
      <c r="N19" s="178">
        <f>F19-березень!F19</f>
        <v>0</v>
      </c>
      <c r="O19" s="40">
        <f t="shared" si="4"/>
        <v>-8500</v>
      </c>
      <c r="P19" s="42">
        <f t="shared" si="5"/>
        <v>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97201.01000000001</v>
      </c>
      <c r="F20" s="184">
        <f>F21+F25+F27+F26</f>
        <v>79339.13</v>
      </c>
      <c r="G20" s="36">
        <f t="shared" si="0"/>
        <v>-17861.880000000005</v>
      </c>
      <c r="H20" s="32">
        <f t="shared" si="1"/>
        <v>81.62377119332402</v>
      </c>
      <c r="I20" s="42">
        <f t="shared" si="2"/>
        <v>-191600.87</v>
      </c>
      <c r="J20" s="42">
        <f t="shared" si="3"/>
        <v>29.282915036539457</v>
      </c>
      <c r="K20" s="132">
        <f>F20-49978.98</f>
        <v>29360.15</v>
      </c>
      <c r="L20" s="110">
        <f>F20/49978.98*100</f>
        <v>158.74499639648508</v>
      </c>
      <c r="M20" s="32">
        <f>M21+M25+M26+M27</f>
        <v>23050.5</v>
      </c>
      <c r="N20" s="178">
        <f>F20-березень!F20</f>
        <v>395.0399999999936</v>
      </c>
      <c r="O20" s="40">
        <f t="shared" si="4"/>
        <v>-22655.460000000006</v>
      </c>
      <c r="P20" s="42">
        <f t="shared" si="5"/>
        <v>1.7138023036376373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51686.26</v>
      </c>
      <c r="F21" s="173">
        <f>F22+F23+F24</f>
        <v>40553.39</v>
      </c>
      <c r="G21" s="36">
        <f t="shared" si="0"/>
        <v>-11132.870000000003</v>
      </c>
      <c r="H21" s="32">
        <f t="shared" si="1"/>
        <v>78.46067794419639</v>
      </c>
      <c r="I21" s="42">
        <f t="shared" si="2"/>
        <v>-120846.61</v>
      </c>
      <c r="J21" s="42">
        <f t="shared" si="3"/>
        <v>25.12601610904585</v>
      </c>
      <c r="K21" s="132">
        <f>F21-24610.26</f>
        <v>15943.130000000001</v>
      </c>
      <c r="L21" s="110">
        <f>F21/24610.26*100</f>
        <v>164.7824525218344</v>
      </c>
      <c r="M21" s="32">
        <f>M22+M23+M24</f>
        <v>14845</v>
      </c>
      <c r="N21" s="178">
        <f>F21-березень!F21</f>
        <v>165.27999999999884</v>
      </c>
      <c r="O21" s="40">
        <f t="shared" si="4"/>
        <v>-14679.720000000001</v>
      </c>
      <c r="P21" s="42">
        <f t="shared" si="5"/>
        <v>1.113371505557419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6631.6</v>
      </c>
      <c r="F22" s="171">
        <v>4229.27</v>
      </c>
      <c r="G22" s="109">
        <f>F22-E22</f>
        <v>-2402.33</v>
      </c>
      <c r="H22" s="111">
        <f t="shared" si="1"/>
        <v>63.77450389046384</v>
      </c>
      <c r="I22" s="110">
        <f t="shared" si="2"/>
        <v>-14270.73</v>
      </c>
      <c r="J22" s="110">
        <f t="shared" si="3"/>
        <v>22.86091891891892</v>
      </c>
      <c r="K22" s="174">
        <f>F22-526.28</f>
        <v>3702.9900000000007</v>
      </c>
      <c r="L22" s="174">
        <f>F22/526.28*100</f>
        <v>803.6159458843204</v>
      </c>
      <c r="M22" s="111">
        <f>E22-березень!E22</f>
        <v>3100.0000000000005</v>
      </c>
      <c r="N22" s="179">
        <f>F22-березень!F22</f>
        <v>34.38000000000011</v>
      </c>
      <c r="O22" s="112">
        <f t="shared" si="4"/>
        <v>-3065.6200000000003</v>
      </c>
      <c r="P22" s="110">
        <f t="shared" si="5"/>
        <v>1.1090322580645195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276.84</v>
      </c>
      <c r="F23" s="171">
        <v>313.88</v>
      </c>
      <c r="G23" s="109">
        <f>F23-E23</f>
        <v>37.04000000000002</v>
      </c>
      <c r="H23" s="111">
        <f t="shared" si="1"/>
        <v>113.37956942638347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E23-березень!E23</f>
        <v>74.99999999999997</v>
      </c>
      <c r="N23" s="179">
        <f>F23-березень!F23</f>
        <v>0</v>
      </c>
      <c r="O23" s="112">
        <f t="shared" si="4"/>
        <v>-74.99999999999997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44777.82</v>
      </c>
      <c r="F24" s="171">
        <v>36010.24</v>
      </c>
      <c r="G24" s="109">
        <f>F24-E24</f>
        <v>-8767.580000000002</v>
      </c>
      <c r="H24" s="111">
        <f t="shared" si="1"/>
        <v>80.41981498876005</v>
      </c>
      <c r="I24" s="110">
        <f t="shared" si="2"/>
        <v>-104089.76000000001</v>
      </c>
      <c r="J24" s="110">
        <f t="shared" si="3"/>
        <v>25.703240542469665</v>
      </c>
      <c r="K24" s="174">
        <f>F24-24046.28</f>
        <v>11963.96</v>
      </c>
      <c r="L24" s="174">
        <f>F24/24046.28*100</f>
        <v>149.7538912463799</v>
      </c>
      <c r="M24" s="111">
        <f>E24-березень!E24</f>
        <v>11670</v>
      </c>
      <c r="N24" s="179">
        <f>F24-березень!F24</f>
        <v>130.90000000000146</v>
      </c>
      <c r="O24" s="112">
        <f t="shared" si="4"/>
        <v>-11539.099999999999</v>
      </c>
      <c r="P24" s="110">
        <f t="shared" si="5"/>
        <v>1.1216795201371161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19.51</v>
      </c>
      <c r="F25" s="172">
        <v>24.81</v>
      </c>
      <c r="G25" s="36">
        <f>F25-E25</f>
        <v>5.299999999999997</v>
      </c>
      <c r="H25" s="32">
        <f t="shared" si="1"/>
        <v>127.16555612506406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E25-березень!E25</f>
        <v>5.500000000000002</v>
      </c>
      <c r="N25" s="178">
        <f>F25-березень!F25</f>
        <v>0</v>
      </c>
      <c r="O25" s="40">
        <f t="shared" si="4"/>
        <v>-5.500000000000002</v>
      </c>
      <c r="P25" s="42">
        <f t="shared" si="5"/>
        <v>0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E26-березень!E26</f>
        <v>0</v>
      </c>
      <c r="N26" s="178">
        <f>F26-березень!F26</f>
        <v>0</v>
      </c>
      <c r="O26" s="40">
        <f t="shared" si="4"/>
        <v>0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38842.47</v>
      </c>
      <c r="G27" s="36">
        <f t="shared" si="6"/>
        <v>-6652.769999999997</v>
      </c>
      <c r="H27" s="32">
        <f t="shared" si="1"/>
        <v>85.3769976815157</v>
      </c>
      <c r="I27" s="42">
        <f t="shared" si="2"/>
        <v>-70620.53</v>
      </c>
      <c r="J27" s="42">
        <f t="shared" si="3"/>
        <v>35.484565560965805</v>
      </c>
      <c r="K27" s="106">
        <f>F27-25338.21</f>
        <v>13504.260000000002</v>
      </c>
      <c r="L27" s="106">
        <f>F27/25338.21*100</f>
        <v>153.29602998791154</v>
      </c>
      <c r="M27" s="32">
        <f>E27-березень!E27</f>
        <v>8200</v>
      </c>
      <c r="N27" s="178">
        <f>F27-березень!F27</f>
        <v>229.76000000000204</v>
      </c>
      <c r="O27" s="40">
        <f t="shared" si="4"/>
        <v>-7970.239999999998</v>
      </c>
      <c r="P27" s="42">
        <f>N27/M27*100</f>
        <v>2.80195121951222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E28-березень!E28</f>
        <v>0</v>
      </c>
      <c r="N28" s="179">
        <f>F28-березень!F28</f>
        <v>0</v>
      </c>
      <c r="O28" s="112">
        <f t="shared" si="4"/>
        <v>0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9848.49</v>
      </c>
      <c r="G29" s="109">
        <f t="shared" si="6"/>
        <v>-1407.4799999999996</v>
      </c>
      <c r="H29" s="111">
        <f t="shared" si="1"/>
        <v>87.4957022806564</v>
      </c>
      <c r="I29" s="110">
        <f t="shared" si="2"/>
        <v>-17751.510000000002</v>
      </c>
      <c r="J29" s="110">
        <f t="shared" si="3"/>
        <v>35.6829347826087</v>
      </c>
      <c r="K29" s="142">
        <f>F29-6631.29</f>
        <v>3217.2</v>
      </c>
      <c r="L29" s="142">
        <f>F29/6631.29*100</f>
        <v>148.51544722067652</v>
      </c>
      <c r="M29" s="111">
        <f>E29-березень!E29</f>
        <v>1900</v>
      </c>
      <c r="N29" s="179">
        <f>F29-березень!F29</f>
        <v>36</v>
      </c>
      <c r="O29" s="112">
        <f t="shared" si="4"/>
        <v>-1864</v>
      </c>
      <c r="P29" s="110">
        <f>N29/M29*100</f>
        <v>1.8947368421052633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28986.13</v>
      </c>
      <c r="G30" s="109">
        <f t="shared" si="6"/>
        <v>-5249.950000000001</v>
      </c>
      <c r="H30" s="111">
        <f t="shared" si="1"/>
        <v>84.66544651139967</v>
      </c>
      <c r="I30" s="110">
        <f t="shared" si="2"/>
        <v>-52825.869999999995</v>
      </c>
      <c r="J30" s="110">
        <f t="shared" si="3"/>
        <v>35.430169168337166</v>
      </c>
      <c r="K30" s="142">
        <f>F30-18703.62</f>
        <v>10282.510000000002</v>
      </c>
      <c r="L30" s="142">
        <f>F30/18603.62*100</f>
        <v>155.80908446850668</v>
      </c>
      <c r="M30" s="111">
        <f>E30-березень!E30</f>
        <v>6300</v>
      </c>
      <c r="N30" s="179">
        <f>F30-березень!F30</f>
        <v>193.75</v>
      </c>
      <c r="O30" s="112">
        <f t="shared" si="4"/>
        <v>-6106.25</v>
      </c>
      <c r="P30" s="110">
        <f>N30/M30*100</f>
        <v>3.075396825396825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E31-березень!E31</f>
        <v>0</v>
      </c>
      <c r="N31" s="179">
        <f>F31-березень!F31</f>
        <v>0</v>
      </c>
      <c r="O31" s="112">
        <f t="shared" si="4"/>
        <v>0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14246.029999999999</v>
      </c>
      <c r="F33" s="15">
        <f>F34+F35+F36+F37+F38+F39+F41+F42+F43+F44+F45+F50+F51+F55-0.02</f>
        <v>13945.58</v>
      </c>
      <c r="G33" s="15">
        <f>G34+G35+G36+G37+G38+G39+G41+G42+G43+G44+G45+G50+G51+G55</f>
        <v>-300.4300000000004</v>
      </c>
      <c r="H33" s="38">
        <f>F33/E33*100</f>
        <v>97.8909913849683</v>
      </c>
      <c r="I33" s="28">
        <f>F33-D33</f>
        <v>-28874.42</v>
      </c>
      <c r="J33" s="28">
        <f>F33/D33*100</f>
        <v>32.56791219056516</v>
      </c>
      <c r="K33" s="15">
        <f>F33-7649.28</f>
        <v>6296.3</v>
      </c>
      <c r="L33" s="15">
        <f>F33/7649.28*100</f>
        <v>182.31232220548864</v>
      </c>
      <c r="M33" s="15">
        <f>M34+M35+M36+M37+M38+M39+M41+M42+M43+M44+M45+M50+M51+M55</f>
        <v>3735.999</v>
      </c>
      <c r="N33" s="15">
        <f>N34+N35+N36+N37+N38+N39+N41+N42+N43+N44+N45+N50+N51+N55</f>
        <v>3273.31</v>
      </c>
      <c r="O33" s="15">
        <f>O34+O35+O36+O37+O38+O39+O41+O42+O43+O44+O45+O50+O51+O55</f>
        <v>-462.6890000000003</v>
      </c>
      <c r="P33" s="15">
        <f>N33/M33*100</f>
        <v>87.61538747735212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94.65</v>
      </c>
      <c r="G34" s="36">
        <f>F34-E34</f>
        <v>40.650000000000006</v>
      </c>
      <c r="H34" s="32">
        <f aca="true" t="shared" si="7" ref="H34:H56">F34/E34*100</f>
        <v>175.2777777777778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E34-березень!E34</f>
        <v>3</v>
      </c>
      <c r="N34" s="178">
        <f>F34-березень!F34</f>
        <v>0</v>
      </c>
      <c r="O34" s="40">
        <f>N34-M34</f>
        <v>-3</v>
      </c>
      <c r="P34" s="42">
        <f aca="true" t="shared" si="8" ref="P34:P56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36">
        <f aca="true" t="shared" si="9" ref="G35:G57">F35-E35</f>
        <v>2216.41</v>
      </c>
      <c r="H35" s="32">
        <f t="shared" si="7"/>
        <v>148.85188450517964</v>
      </c>
      <c r="I35" s="42">
        <f aca="true" t="shared" si="10" ref="I35:I57">F35-D35</f>
        <v>-3246.59</v>
      </c>
      <c r="J35" s="42">
        <f>F35/D35*100</f>
        <v>67.5341</v>
      </c>
      <c r="K35" s="42">
        <f>F35-0</f>
        <v>6753.41</v>
      </c>
      <c r="L35" s="42"/>
      <c r="M35" s="32">
        <f>E35-березень!E35</f>
        <v>1000</v>
      </c>
      <c r="N35" s="178">
        <f>F35-березень!F35</f>
        <v>3216.0299999999997</v>
      </c>
      <c r="O35" s="40">
        <f aca="true" t="shared" si="11" ref="O35:O57">N35-M35</f>
        <v>2216.0299999999997</v>
      </c>
      <c r="P35" s="42">
        <f t="shared" si="8"/>
        <v>321.603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26.96</v>
      </c>
      <c r="G36" s="36">
        <f t="shared" si="9"/>
        <v>-44.48</v>
      </c>
      <c r="H36" s="32">
        <f t="shared" si="7"/>
        <v>37.73796192609183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E36-березень!E36</f>
        <v>20</v>
      </c>
      <c r="N36" s="178">
        <f>F36-березень!F36</f>
        <v>0</v>
      </c>
      <c r="O36" s="40">
        <f t="shared" si="11"/>
        <v>-20</v>
      </c>
      <c r="P36" s="42">
        <f t="shared" si="8"/>
        <v>0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E37-березень!E37</f>
        <v>0</v>
      </c>
      <c r="N37" s="178">
        <f>F37-березень!F37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20.4</v>
      </c>
      <c r="G38" s="36">
        <f t="shared" si="9"/>
        <v>-19.6</v>
      </c>
      <c r="H38" s="32">
        <f t="shared" si="7"/>
        <v>51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E38-березень!E38</f>
        <v>10</v>
      </c>
      <c r="N38" s="178">
        <f>F38-березень!F38</f>
        <v>0</v>
      </c>
      <c r="O38" s="40">
        <f t="shared" si="11"/>
        <v>-10</v>
      </c>
      <c r="P38" s="42">
        <f t="shared" si="8"/>
        <v>0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24</v>
      </c>
      <c r="F39" s="170">
        <v>0</v>
      </c>
      <c r="G39" s="36">
        <f t="shared" si="9"/>
        <v>-24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E39-березень!E39</f>
        <v>8</v>
      </c>
      <c r="N39" s="178">
        <f>F39-березень!F39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E40-березень!E40</f>
        <v>0</v>
      </c>
      <c r="N40" s="178">
        <f>F40-березень!F40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2939.02</v>
      </c>
      <c r="F41" s="170">
        <v>2361.99</v>
      </c>
      <c r="G41" s="36">
        <f t="shared" si="9"/>
        <v>-577.0300000000002</v>
      </c>
      <c r="H41" s="32">
        <f t="shared" si="7"/>
        <v>80.36658477996066</v>
      </c>
      <c r="I41" s="42">
        <f t="shared" si="10"/>
        <v>-7538.01</v>
      </c>
      <c r="J41" s="42">
        <f t="shared" si="12"/>
        <v>23.858484848484846</v>
      </c>
      <c r="K41" s="42">
        <f>F41-2528.58</f>
        <v>-166.59000000000015</v>
      </c>
      <c r="L41" s="42">
        <f>F41/2528.58*100</f>
        <v>93.41171724841611</v>
      </c>
      <c r="M41" s="32">
        <f>E41-березень!E41</f>
        <v>800</v>
      </c>
      <c r="N41" s="178">
        <f>F41-березень!F41</f>
        <v>22.409999999999854</v>
      </c>
      <c r="O41" s="40">
        <f t="shared" si="11"/>
        <v>-777.5900000000001</v>
      </c>
      <c r="P41" s="42">
        <f t="shared" si="8"/>
        <v>2.801249999999982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390</v>
      </c>
      <c r="F42" s="170">
        <v>1.2</v>
      </c>
      <c r="G42" s="36">
        <f t="shared" si="9"/>
        <v>-388.8</v>
      </c>
      <c r="H42" s="32">
        <f t="shared" si="7"/>
        <v>0.3076923076923077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E42-березень!E42</f>
        <v>130</v>
      </c>
      <c r="N42" s="178">
        <f>F42-березень!F42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12</v>
      </c>
      <c r="F43" s="170">
        <v>0</v>
      </c>
      <c r="G43" s="36">
        <f t="shared" si="9"/>
        <v>-12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E43-березень!E43</f>
        <v>4</v>
      </c>
      <c r="N43" s="178">
        <f>F43-березень!F43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2666.23</v>
      </c>
      <c r="F44" s="170">
        <v>2001.53</v>
      </c>
      <c r="G44" s="36">
        <f t="shared" si="9"/>
        <v>-664.7</v>
      </c>
      <c r="H44" s="32">
        <f t="shared" si="7"/>
        <v>75.06966765807901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E44-березень!E44</f>
        <v>650</v>
      </c>
      <c r="N44" s="178">
        <f>F44-березень!F44</f>
        <v>0</v>
      </c>
      <c r="O44" s="40">
        <f t="shared" si="11"/>
        <v>-650</v>
      </c>
      <c r="P44" s="42">
        <f t="shared" si="8"/>
        <v>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2014.19</v>
      </c>
      <c r="F45" s="170">
        <v>1525.45</v>
      </c>
      <c r="G45" s="36">
        <f t="shared" si="9"/>
        <v>-488.74</v>
      </c>
      <c r="H45" s="32">
        <f t="shared" si="7"/>
        <v>75.73515904656463</v>
      </c>
      <c r="I45" s="42">
        <f t="shared" si="10"/>
        <v>-5774.55</v>
      </c>
      <c r="J45" s="42">
        <f t="shared" si="12"/>
        <v>20.896575342465752</v>
      </c>
      <c r="K45" s="132">
        <f>F45-2181.98</f>
        <v>-656.53</v>
      </c>
      <c r="L45" s="132">
        <f>F45/2181.98*100</f>
        <v>69.91127324723416</v>
      </c>
      <c r="M45" s="32">
        <f>E45-березень!E45</f>
        <v>641</v>
      </c>
      <c r="N45" s="178">
        <f>F45-березень!F45</f>
        <v>25.350000000000136</v>
      </c>
      <c r="O45" s="40">
        <f t="shared" si="11"/>
        <v>-615.6499999999999</v>
      </c>
      <c r="P45" s="132">
        <f t="shared" si="8"/>
        <v>3.954758190327634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288.99</v>
      </c>
      <c r="F46" s="171">
        <v>169.75</v>
      </c>
      <c r="G46" s="36">
        <f t="shared" si="9"/>
        <v>-119.24000000000001</v>
      </c>
      <c r="H46" s="32">
        <f t="shared" si="7"/>
        <v>58.73905671476521</v>
      </c>
      <c r="I46" s="110">
        <f t="shared" si="10"/>
        <v>-930.25</v>
      </c>
      <c r="J46" s="110">
        <f t="shared" si="12"/>
        <v>15.431818181818183</v>
      </c>
      <c r="K46" s="110">
        <f>F46-216.18</f>
        <v>-46.43000000000001</v>
      </c>
      <c r="L46" s="110">
        <f>F46/216.18*100</f>
        <v>78.52252752336017</v>
      </c>
      <c r="M46" s="111">
        <f>E46-березень!E46</f>
        <v>100</v>
      </c>
      <c r="N46" s="179">
        <f>F46-березень!F46</f>
        <v>6.069999999999993</v>
      </c>
      <c r="O46" s="112">
        <f t="shared" si="11"/>
        <v>-93.93</v>
      </c>
      <c r="P46" s="132">
        <f t="shared" si="8"/>
        <v>6.069999999999993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3.04</v>
      </c>
      <c r="F47" s="171">
        <v>0.12</v>
      </c>
      <c r="G47" s="36">
        <f t="shared" si="9"/>
        <v>-2.92</v>
      </c>
      <c r="H47" s="32">
        <f t="shared" si="7"/>
        <v>3.9473684210526314</v>
      </c>
      <c r="I47" s="110">
        <f t="shared" si="10"/>
        <v>-44.88</v>
      </c>
      <c r="J47" s="110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111">
        <f>E47-березень!E47</f>
        <v>1</v>
      </c>
      <c r="N47" s="179">
        <f>F47-березень!F47</f>
        <v>0</v>
      </c>
      <c r="O47" s="112">
        <f t="shared" si="11"/>
        <v>-1</v>
      </c>
      <c r="P47" s="132">
        <f t="shared" si="8"/>
        <v>0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/>
      <c r="I48" s="110">
        <f t="shared" si="10"/>
        <v>-1</v>
      </c>
      <c r="J48" s="110">
        <f t="shared" si="12"/>
        <v>0</v>
      </c>
      <c r="K48" s="110">
        <f>F48-0.53</f>
        <v>-0.53</v>
      </c>
      <c r="L48" s="110">
        <f>F48/0.53*100</f>
        <v>0</v>
      </c>
      <c r="M48" s="111">
        <f>E48-березень!E48</f>
        <v>0</v>
      </c>
      <c r="N48" s="179">
        <f>F48-березень!F48</f>
        <v>0</v>
      </c>
      <c r="O48" s="112">
        <f t="shared" si="11"/>
        <v>0</v>
      </c>
      <c r="P48" s="132"/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1722.17</v>
      </c>
      <c r="F49" s="171">
        <v>1355.59</v>
      </c>
      <c r="G49" s="36">
        <f t="shared" si="9"/>
        <v>-366.58000000000015</v>
      </c>
      <c r="H49" s="32">
        <f t="shared" si="7"/>
        <v>78.71406423291543</v>
      </c>
      <c r="I49" s="110">
        <f t="shared" si="10"/>
        <v>-4798.41</v>
      </c>
      <c r="J49" s="110">
        <f t="shared" si="12"/>
        <v>22.027786805329868</v>
      </c>
      <c r="K49" s="110">
        <f>F49-1921.57</f>
        <v>-565.98</v>
      </c>
      <c r="L49" s="110">
        <f>F49/1921.57*100</f>
        <v>70.54595981411033</v>
      </c>
      <c r="M49" s="111">
        <f>E49-березень!E49</f>
        <v>540</v>
      </c>
      <c r="N49" s="179">
        <f>F49-березень!F49</f>
        <v>19.289999999999964</v>
      </c>
      <c r="O49" s="112">
        <f t="shared" si="11"/>
        <v>-520.71</v>
      </c>
      <c r="P49" s="132">
        <f t="shared" si="8"/>
        <v>3.5722222222222157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70">
        <v>2.46</v>
      </c>
      <c r="G50" s="36">
        <f t="shared" si="9"/>
        <v>2.29</v>
      </c>
      <c r="H50" s="32">
        <f t="shared" si="7"/>
        <v>1447.0588235294117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E50-березень!E50</f>
        <v>-0.0010000000000000009</v>
      </c>
      <c r="N50" s="178">
        <f>F50-березень!F50</f>
        <v>0</v>
      </c>
      <c r="O50" s="40">
        <f t="shared" si="11"/>
        <v>0.0010000000000000009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1477.98</v>
      </c>
      <c r="F51" s="170">
        <v>1124.36</v>
      </c>
      <c r="G51" s="36">
        <f t="shared" si="9"/>
        <v>-353.6200000000001</v>
      </c>
      <c r="H51" s="32">
        <f t="shared" si="7"/>
        <v>76.07410113803975</v>
      </c>
      <c r="I51" s="42">
        <f t="shared" si="10"/>
        <v>-3675.6400000000003</v>
      </c>
      <c r="J51" s="42">
        <f t="shared" si="12"/>
        <v>23.424166666666665</v>
      </c>
      <c r="K51" s="42">
        <f>F51-960.47</f>
        <v>163.88999999999987</v>
      </c>
      <c r="L51" s="42">
        <f>F51/960.47*100</f>
        <v>117.06352098451798</v>
      </c>
      <c r="M51" s="32">
        <f>E51-березень!E51</f>
        <v>470</v>
      </c>
      <c r="N51" s="178">
        <f>F51-березень!F51</f>
        <v>9.519999999999982</v>
      </c>
      <c r="O51" s="40">
        <f t="shared" si="11"/>
        <v>-460.48</v>
      </c>
      <c r="P51" s="42">
        <f t="shared" si="8"/>
        <v>2.0255319148936133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E52-березень!E52</f>
        <v>0</v>
      </c>
      <c r="N52" s="178">
        <f>F52-березень!F52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238.4</v>
      </c>
      <c r="G53" s="36"/>
      <c r="H53" s="32"/>
      <c r="I53" s="42"/>
      <c r="J53" s="42"/>
      <c r="K53" s="112">
        <f>F53-239.6</f>
        <v>-1.1999999999999886</v>
      </c>
      <c r="L53" s="112">
        <f>F53/239.6*100</f>
        <v>99.4991652754591</v>
      </c>
      <c r="M53" s="32">
        <f>E53-березень!E53</f>
        <v>0</v>
      </c>
      <c r="N53" s="179">
        <f>F53-березень!F53</f>
        <v>9.5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E54-березень!E54</f>
        <v>0</v>
      </c>
      <c r="N54" s="178">
        <f>F54-березень!F54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E55-березень!E55</f>
        <v>0</v>
      </c>
      <c r="N55" s="178">
        <f>F55-березень!F55</f>
        <v>0</v>
      </c>
      <c r="O55" s="40">
        <f t="shared" si="11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7.6</v>
      </c>
      <c r="F56" s="170">
        <v>5.8</v>
      </c>
      <c r="G56" s="36">
        <f t="shared" si="9"/>
        <v>-1.7999999999999998</v>
      </c>
      <c r="H56" s="32">
        <f t="shared" si="7"/>
        <v>76.31578947368422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E56-березень!E56</f>
        <v>2.3</v>
      </c>
      <c r="N56" s="178">
        <f>F56-березень!F56</f>
        <v>0</v>
      </c>
      <c r="O56" s="40">
        <f t="shared" si="11"/>
        <v>-2.3</v>
      </c>
      <c r="P56" s="42">
        <f t="shared" si="8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E57-березень!E57</f>
        <v>0</v>
      </c>
      <c r="N57" s="178">
        <f>F57-березень!F57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285928.30999999994</v>
      </c>
      <c r="F58" s="15">
        <f>F8+F33+F56+F57</f>
        <v>224795.50999999998</v>
      </c>
      <c r="G58" s="37">
        <f>F58-E58</f>
        <v>-61132.79999999996</v>
      </c>
      <c r="H58" s="38">
        <f>F58/E58*100</f>
        <v>78.61953578503648</v>
      </c>
      <c r="I58" s="28">
        <f>F58-D58</f>
        <v>-659105.09</v>
      </c>
      <c r="J58" s="28">
        <f>F58/D58*100</f>
        <v>25.432216020670197</v>
      </c>
      <c r="K58" s="28">
        <f>F58-147138.18</f>
        <v>77657.32999999999</v>
      </c>
      <c r="L58" s="28">
        <f>F58/147138.18*100</f>
        <v>152.77850385263702</v>
      </c>
      <c r="M58" s="15">
        <f>M8+M33+M56+M57</f>
        <v>75098.79899999998</v>
      </c>
      <c r="N58" s="15">
        <f>N8+N33+N56+N57</f>
        <v>4329.729999999983</v>
      </c>
      <c r="O58" s="41">
        <f>N58-M58</f>
        <v>-70769.069</v>
      </c>
      <c r="P58" s="28">
        <f>N58/M58*100</f>
        <v>5.765378484947521</v>
      </c>
      <c r="Q58" s="28">
        <f>N58-34768</f>
        <v>-30438.27000000002</v>
      </c>
      <c r="R58" s="128">
        <f>N58/34768</f>
        <v>0.12453204095720154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 hidden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F63-березень!F63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F64-березень!F64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366.6</v>
      </c>
      <c r="F67" s="175">
        <v>0.15</v>
      </c>
      <c r="G67" s="36">
        <f aca="true" t="shared" si="13" ref="G67:G77">F67-E67</f>
        <v>-366.45000000000005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E67-березень!E67</f>
        <v>294.6</v>
      </c>
      <c r="N67" s="178">
        <f>F67-березень!F67</f>
        <v>0</v>
      </c>
      <c r="O67" s="40">
        <f aca="true" t="shared" si="15" ref="O67:O80">N67-M67</f>
        <v>-294.6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1634.01</v>
      </c>
      <c r="F68" s="175">
        <v>318.64</v>
      </c>
      <c r="G68" s="36">
        <f t="shared" si="13"/>
        <v>-1315.37</v>
      </c>
      <c r="H68" s="32">
        <f>F68/E68*100</f>
        <v>19.50049265304374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E68-березень!E68</f>
        <v>242.5999999999999</v>
      </c>
      <c r="N68" s="178">
        <f>F68-березень!F68</f>
        <v>0</v>
      </c>
      <c r="O68" s="40">
        <f t="shared" si="15"/>
        <v>-242.5999999999999</v>
      </c>
      <c r="P68" s="43">
        <f>N68/M68*100</f>
        <v>0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1188.85</v>
      </c>
      <c r="F69" s="175">
        <v>7957.09</v>
      </c>
      <c r="G69" s="36">
        <f t="shared" si="13"/>
        <v>6768.24</v>
      </c>
      <c r="H69" s="32">
        <f>F69/E69*100</f>
        <v>669.3098372376667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E69-березень!E69</f>
        <v>301.9999999999999</v>
      </c>
      <c r="N69" s="178">
        <f>F69-березень!F69</f>
        <v>0</v>
      </c>
      <c r="O69" s="40">
        <f t="shared" si="15"/>
        <v>-301.9999999999999</v>
      </c>
      <c r="P69" s="43">
        <f>N69/M69*100</f>
        <v>0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4</v>
      </c>
      <c r="F70" s="175">
        <v>3</v>
      </c>
      <c r="G70" s="36">
        <f t="shared" si="13"/>
        <v>-1</v>
      </c>
      <c r="H70" s="32">
        <f>F70/E70*100</f>
        <v>75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E70-березень!E70</f>
        <v>1</v>
      </c>
      <c r="N70" s="178">
        <f>F70-березень!F70</f>
        <v>0</v>
      </c>
      <c r="O70" s="40">
        <f t="shared" si="15"/>
        <v>-1</v>
      </c>
      <c r="P70" s="43">
        <f>N70/M70*100</f>
        <v>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3193.46</v>
      </c>
      <c r="F71" s="176">
        <f>F67+F68+F69+F70</f>
        <v>8278.880000000001</v>
      </c>
      <c r="G71" s="45">
        <f t="shared" si="13"/>
        <v>5085.420000000001</v>
      </c>
      <c r="H71" s="52">
        <f>F71/E71*100</f>
        <v>259.24483162463287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840.1999999999998</v>
      </c>
      <c r="N71" s="183">
        <f>N67+N68+N69+N70</f>
        <v>0</v>
      </c>
      <c r="O71" s="44">
        <f t="shared" si="15"/>
        <v>-840.1999999999998</v>
      </c>
      <c r="P71" s="44">
        <f>N71/M71*100</f>
        <v>0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E72-березень!E72</f>
        <v>0</v>
      </c>
      <c r="N72" s="178">
        <f>F72-березень!F72</f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E73-березень!E73</f>
        <v>0</v>
      </c>
      <c r="N73" s="178">
        <f>F73-березень!F73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2020.7</v>
      </c>
      <c r="F74" s="175">
        <v>2019.06</v>
      </c>
      <c r="G74" s="36">
        <f t="shared" si="13"/>
        <v>-1.6400000000001</v>
      </c>
      <c r="H74" s="32">
        <f>F74/E74*100</f>
        <v>99.91884000593853</v>
      </c>
      <c r="I74" s="43">
        <f t="shared" si="14"/>
        <v>-7480.9400000000005</v>
      </c>
      <c r="J74" s="40">
        <f>F74/D74*100</f>
        <v>21.253263157894736</v>
      </c>
      <c r="K74" s="40">
        <f>F74-0</f>
        <v>2019.06</v>
      </c>
      <c r="L74" s="43"/>
      <c r="M74" s="32">
        <f>E74-березень!E74</f>
        <v>15</v>
      </c>
      <c r="N74" s="178">
        <f>F74-березень!F74</f>
        <v>0.05999999999994543</v>
      </c>
      <c r="O74" s="40">
        <f>N74-M74</f>
        <v>-14.940000000000055</v>
      </c>
      <c r="P74" s="46">
        <f>N74/M74*100</f>
        <v>0.39999999999963626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E75-березень!E75</f>
        <v>0</v>
      </c>
      <c r="N75" s="178">
        <f>F75-березень!F75</f>
        <v>0</v>
      </c>
      <c r="O75" s="40">
        <f t="shared" si="15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2020.7</v>
      </c>
      <c r="F76" s="176">
        <f>F72+F75+F73+F74</f>
        <v>2019.8999999999999</v>
      </c>
      <c r="G76" s="30">
        <f>G72+G75+G73+G74</f>
        <v>-0.8000000000001</v>
      </c>
      <c r="H76" s="52">
        <f>F76/E76*100</f>
        <v>99.9604097589944</v>
      </c>
      <c r="I76" s="44">
        <f t="shared" si="14"/>
        <v>-7481.1</v>
      </c>
      <c r="J76" s="44">
        <f>F76/D76*100</f>
        <v>21.2598673823808</v>
      </c>
      <c r="K76" s="44">
        <f>F76-0.58</f>
        <v>2019.32</v>
      </c>
      <c r="L76" s="44">
        <f>F76/0.58*100</f>
        <v>348258.6206896552</v>
      </c>
      <c r="M76" s="45">
        <f>M72+M75+M73+M74</f>
        <v>15</v>
      </c>
      <c r="N76" s="183">
        <f>N72+N75+N73+N74</f>
        <v>0.05999999999994543</v>
      </c>
      <c r="O76" s="45">
        <f>O72+O75+O73+O74</f>
        <v>-14.940000000000055</v>
      </c>
      <c r="P76" s="44">
        <f>N76/M76*100</f>
        <v>0.39999999999963626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13.14</v>
      </c>
      <c r="F77" s="175">
        <v>9.19</v>
      </c>
      <c r="G77" s="36">
        <f t="shared" si="13"/>
        <v>-3.950000000000001</v>
      </c>
      <c r="H77" s="32">
        <f>F77/E77*100</f>
        <v>69.93911719939116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E77-березень!E77</f>
        <v>0.4299999999999997</v>
      </c>
      <c r="N77" s="178">
        <f>F77-березень!F77</f>
        <v>0</v>
      </c>
      <c r="O77" s="40">
        <f t="shared" si="15"/>
        <v>-0.4299999999999997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5227.3</v>
      </c>
      <c r="F79" s="24">
        <f>F65+F77+F71+F76+F78</f>
        <v>10307.7</v>
      </c>
      <c r="G79" s="37">
        <f>F79-E79</f>
        <v>5080.400000000001</v>
      </c>
      <c r="H79" s="38">
        <f>F79/E79*100</f>
        <v>197.18975379258893</v>
      </c>
      <c r="I79" s="28">
        <f>F79-D79</f>
        <v>-16907.3</v>
      </c>
      <c r="J79" s="28">
        <f>F79/D79*100</f>
        <v>37.875068895829514</v>
      </c>
      <c r="K79" s="28">
        <f>F79-1453.19</f>
        <v>8854.51</v>
      </c>
      <c r="L79" s="28">
        <f>F79/1453.19*100</f>
        <v>709.3153682587962</v>
      </c>
      <c r="M79" s="24">
        <f>M65+M77+M71+M76</f>
        <v>855.6299999999998</v>
      </c>
      <c r="N79" s="24">
        <f>N65+N77+N71+N76+N78</f>
        <v>0.05999999999994543</v>
      </c>
      <c r="O79" s="28">
        <f t="shared" si="15"/>
        <v>-855.5699999999998</v>
      </c>
      <c r="P79" s="28">
        <f>N79/M79*100</f>
        <v>0.007012376845125282</v>
      </c>
      <c r="Q79" s="28">
        <f>N79-8104.96</f>
        <v>-8104.9</v>
      </c>
      <c r="R79" s="101">
        <f>N79/8104.96</f>
        <v>7.402874289317335E-06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291155.6099999999</v>
      </c>
      <c r="F80" s="24">
        <f>F58+F79</f>
        <v>235103.21</v>
      </c>
      <c r="G80" s="37">
        <f>F80-E80</f>
        <v>-56052.399999999936</v>
      </c>
      <c r="H80" s="38">
        <f>F80/E80*100</f>
        <v>80.7483015697345</v>
      </c>
      <c r="I80" s="28">
        <f>F80-D80</f>
        <v>-676012.39</v>
      </c>
      <c r="J80" s="28">
        <f>F80/D80*100</f>
        <v>25.80388372232898</v>
      </c>
      <c r="K80" s="28">
        <f>K58+K79</f>
        <v>86511.83999999998</v>
      </c>
      <c r="L80" s="28">
        <f>F80/139550.7*100</f>
        <v>168.47153758454812</v>
      </c>
      <c r="M80" s="15">
        <f>M58+M79</f>
        <v>75954.42899999999</v>
      </c>
      <c r="N80" s="15">
        <f>N58+N79</f>
        <v>4329.789999999983</v>
      </c>
      <c r="O80" s="28">
        <f t="shared" si="15"/>
        <v>-71624.63900000001</v>
      </c>
      <c r="P80" s="28">
        <f>N80/M80*100</f>
        <v>5.7005102362101665</v>
      </c>
      <c r="Q80" s="28">
        <f>N80-42872.96</f>
        <v>-38543.17000000001</v>
      </c>
      <c r="R80" s="101">
        <f>N80/42872.96</f>
        <v>0.10099116086223071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20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3538.45345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42461</v>
      </c>
      <c r="D84" s="31">
        <v>4329.7</v>
      </c>
      <c r="G84" s="4" t="s">
        <v>59</v>
      </c>
      <c r="N84" s="195"/>
      <c r="O84" s="195"/>
    </row>
    <row r="85" spans="3:15" ht="15">
      <c r="C85" s="87">
        <v>42460</v>
      </c>
      <c r="D85" s="31">
        <v>3666.9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42459</v>
      </c>
      <c r="D86" s="31">
        <v>7576.3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0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92" sqref="E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09" t="s">
        <v>148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19" t="s">
        <v>147</v>
      </c>
      <c r="N3" s="220" t="s">
        <v>143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146</v>
      </c>
      <c r="F4" s="203" t="s">
        <v>34</v>
      </c>
      <c r="G4" s="197" t="s">
        <v>141</v>
      </c>
      <c r="H4" s="205" t="s">
        <v>142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149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78.7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144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/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10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10672.269999999999</v>
      </c>
      <c r="G33" s="15">
        <f>G34+G35+G36+G37+G38+G39+G41+G42+G43+G44+G45+G50+G51+G55</f>
        <v>162.25899999999976</v>
      </c>
      <c r="H33" s="38">
        <f>F33/E33*100</f>
        <v>101.54365862479375</v>
      </c>
      <c r="I33" s="28">
        <f>F33-D33</f>
        <v>-32147.730000000003</v>
      </c>
      <c r="J33" s="28">
        <f>F33/D33*100</f>
        <v>24.923563755254552</v>
      </c>
      <c r="K33" s="15">
        <f>F33-7649.28</f>
        <v>3022.989999999999</v>
      </c>
      <c r="L33" s="15">
        <f>F33/7649.28*100</f>
        <v>139.51992867302542</v>
      </c>
      <c r="M33" s="15">
        <f>M34+M35+M36+M37+M38+M39+M41+M42+M43+M44+M45+M50+M51+M55</f>
        <v>5575.005</v>
      </c>
      <c r="N33" s="15">
        <f>N34+N35+N36+N37+N38+N39+N41+N42+N43+N44+N45+N50+N51+N55</f>
        <v>5755.829999999999</v>
      </c>
      <c r="O33" s="15">
        <f>O34+O35+O36+O37+O38+O39+O41+O42+O43+O44+O45+O50+O51+O55</f>
        <v>180.82500000000013</v>
      </c>
      <c r="P33" s="15">
        <f>N33/M33*100</f>
        <v>103.24349484888353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94.65</v>
      </c>
      <c r="G34" s="36">
        <f>F34-E34</f>
        <v>43.650000000000006</v>
      </c>
      <c r="H34" s="32">
        <f aca="true" t="shared" si="7" ref="H34:H56">F34/E34*100</f>
        <v>185.58823529411765</v>
      </c>
      <c r="I34" s="42">
        <f>F34-D34</f>
        <v>-5.349999999999994</v>
      </c>
      <c r="J34" s="42">
        <f>F34/D34*100</f>
        <v>94.65</v>
      </c>
      <c r="K34" s="42">
        <f>F34-(-3.69)</f>
        <v>98.34</v>
      </c>
      <c r="L34" s="42">
        <f>F34/(-3.69)*100</f>
        <v>-2565.040650406504</v>
      </c>
      <c r="M34" s="32">
        <f>E34-лютий!E34</f>
        <v>1</v>
      </c>
      <c r="N34" s="178">
        <f>F34-лютий!F34</f>
        <v>16.60000000000001</v>
      </c>
      <c r="O34" s="40">
        <f>N34-M34</f>
        <v>15.600000000000009</v>
      </c>
      <c r="P34" s="42">
        <f aca="true" t="shared" si="8" ref="P34:P56">N34/M34*100</f>
        <v>1660.000000000001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228.9</v>
      </c>
      <c r="G53" s="36"/>
      <c r="H53" s="32"/>
      <c r="I53" s="42"/>
      <c r="J53" s="42"/>
      <c r="K53" s="112">
        <f>F53-239.6</f>
        <v>-10.699999999999989</v>
      </c>
      <c r="L53" s="112">
        <f>F53/239.6*100</f>
        <v>95.53422370617697</v>
      </c>
      <c r="M53" s="111"/>
      <c r="N53" s="179">
        <f>F53-лютий!F53</f>
        <v>81.6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220465.78</v>
      </c>
      <c r="G58" s="37">
        <f>F58-E58</f>
        <v>9636.269</v>
      </c>
      <c r="H58" s="38">
        <f>F58/E58*100</f>
        <v>104.57064523571371</v>
      </c>
      <c r="I58" s="28">
        <f>F58-D58</f>
        <v>-663434.82</v>
      </c>
      <c r="J58" s="28">
        <f>F58/D58*100</f>
        <v>24.94237247943943</v>
      </c>
      <c r="K58" s="28">
        <f>F58-147138.18</f>
        <v>73327.6</v>
      </c>
      <c r="L58" s="28">
        <f>F58/147138.18*100</f>
        <v>149.83587536559173</v>
      </c>
      <c r="M58" s="15">
        <f>M8+M33+M56+M57</f>
        <v>83178.71500000001</v>
      </c>
      <c r="N58" s="15">
        <f>N8+N33+N56+N57</f>
        <v>75122.51500000001</v>
      </c>
      <c r="O58" s="41">
        <f>N58-M58</f>
        <v>-8056.199999999997</v>
      </c>
      <c r="P58" s="28">
        <f>N58/M58*100</f>
        <v>90.31458949564201</v>
      </c>
      <c r="Q58" s="28">
        <f>N58-34768</f>
        <v>40354.515000000014</v>
      </c>
      <c r="R58" s="128">
        <f>N58/34768</f>
        <v>2.160679791762541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230773.42</v>
      </c>
      <c r="G80" s="37">
        <f>F80-E80</f>
        <v>15572.239000000001</v>
      </c>
      <c r="H80" s="38">
        <f>F80/E80*100</f>
        <v>107.23613082773929</v>
      </c>
      <c r="I80" s="28">
        <f>F80-D80</f>
        <v>-680342.1799999999</v>
      </c>
      <c r="J80" s="28">
        <f>F80/D80*100</f>
        <v>25.32866520999092</v>
      </c>
      <c r="K80" s="28">
        <f>K58+K79</f>
        <v>82182.05</v>
      </c>
      <c r="L80" s="28">
        <f>F80/139550.7*100</f>
        <v>165.36887310490022</v>
      </c>
      <c r="M80" s="15">
        <f>M58+M79</f>
        <v>83825.51500000001</v>
      </c>
      <c r="N80" s="15">
        <f>N58+N79</f>
        <v>82390.29500000001</v>
      </c>
      <c r="O80" s="28">
        <f t="shared" si="15"/>
        <v>-1435.2200000000012</v>
      </c>
      <c r="P80" s="28">
        <f>N80/M80*100</f>
        <v>98.28784827626768</v>
      </c>
      <c r="Q80" s="28">
        <f>N80-42872.96</f>
        <v>39517.335000000014</v>
      </c>
      <c r="R80" s="101">
        <f>N80/42872.96</f>
        <v>1.9217309698234042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195"/>
      <c r="O84" s="195"/>
    </row>
    <row r="85" spans="3:15" ht="15">
      <c r="C85" s="87">
        <v>42459</v>
      </c>
      <c r="D85" s="31">
        <v>7576.3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42458</v>
      </c>
      <c r="D86" s="31">
        <v>9190.1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4343.7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28" sqref="E28:E3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139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/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23" t="s">
        <v>128</v>
      </c>
      <c r="N3" s="220" t="s">
        <v>119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127</v>
      </c>
      <c r="F4" s="203" t="s">
        <v>34</v>
      </c>
      <c r="G4" s="197" t="s">
        <v>116</v>
      </c>
      <c r="H4" s="205" t="s">
        <v>117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07" t="s">
        <v>140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118</v>
      </c>
      <c r="L5" s="201"/>
      <c r="M5" s="206"/>
      <c r="N5" s="208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77.10000000000001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195"/>
      <c r="O84" s="195"/>
    </row>
    <row r="85" spans="3:15" ht="15">
      <c r="C85" s="87">
        <v>42426</v>
      </c>
      <c r="D85" s="31">
        <v>6256.2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42425</v>
      </c>
      <c r="D86" s="31">
        <v>3536.9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505.3</v>
      </c>
      <c r="E88" s="74"/>
      <c r="F88" s="140" t="s">
        <v>137</v>
      </c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71">
      <selection activeCell="C83" sqref="C8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135</v>
      </c>
      <c r="C3" s="214" t="s">
        <v>0</v>
      </c>
      <c r="D3" s="215" t="s">
        <v>121</v>
      </c>
      <c r="E3" s="34"/>
      <c r="F3" s="216" t="s">
        <v>26</v>
      </c>
      <c r="G3" s="217"/>
      <c r="H3" s="217"/>
      <c r="I3" s="217"/>
      <c r="J3" s="218"/>
      <c r="K3" s="89"/>
      <c r="L3" s="89"/>
      <c r="M3" s="223" t="s">
        <v>132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129</v>
      </c>
      <c r="F4" s="203" t="s">
        <v>34</v>
      </c>
      <c r="G4" s="197" t="s">
        <v>130</v>
      </c>
      <c r="H4" s="205" t="s">
        <v>131</v>
      </c>
      <c r="I4" s="197" t="s">
        <v>122</v>
      </c>
      <c r="J4" s="205" t="s">
        <v>123</v>
      </c>
      <c r="K4" s="91" t="s">
        <v>65</v>
      </c>
      <c r="L4" s="96" t="s">
        <v>64</v>
      </c>
      <c r="M4" s="205"/>
      <c r="N4" s="224" t="s">
        <v>133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92.25" customHeight="1">
      <c r="A5" s="212"/>
      <c r="B5" s="213"/>
      <c r="C5" s="214"/>
      <c r="D5" s="215"/>
      <c r="E5" s="222"/>
      <c r="F5" s="204"/>
      <c r="G5" s="198"/>
      <c r="H5" s="206"/>
      <c r="I5" s="198"/>
      <c r="J5" s="206"/>
      <c r="K5" s="200" t="s">
        <v>134</v>
      </c>
      <c r="L5" s="201"/>
      <c r="M5" s="206"/>
      <c r="N5" s="225"/>
      <c r="O5" s="198"/>
      <c r="P5" s="199"/>
      <c r="Q5" s="200" t="s">
        <v>120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2"/>
      <c r="H83" s="202"/>
      <c r="I83" s="202"/>
      <c r="J83" s="20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195"/>
      <c r="O84" s="195"/>
    </row>
    <row r="85" spans="3:15" ht="15">
      <c r="C85" s="87">
        <v>42397</v>
      </c>
      <c r="D85" s="31">
        <v>8685</v>
      </c>
      <c r="F85" s="124" t="s">
        <v>59</v>
      </c>
      <c r="G85" s="189"/>
      <c r="H85" s="189"/>
      <c r="I85" s="131"/>
      <c r="J85" s="192"/>
      <c r="K85" s="192"/>
      <c r="L85" s="192"/>
      <c r="M85" s="192"/>
      <c r="N85" s="195"/>
      <c r="O85" s="195"/>
    </row>
    <row r="86" spans="3:15" ht="15.75" customHeight="1">
      <c r="C86" s="87">
        <v>42396</v>
      </c>
      <c r="D86" s="31">
        <v>4820.3</v>
      </c>
      <c r="F86" s="73"/>
      <c r="G86" s="189"/>
      <c r="H86" s="189"/>
      <c r="I86" s="131"/>
      <c r="J86" s="196"/>
      <c r="K86" s="196"/>
      <c r="L86" s="196"/>
      <c r="M86" s="196"/>
      <c r="N86" s="195"/>
      <c r="O86" s="195"/>
    </row>
    <row r="87" spans="3:13" ht="15.75" customHeight="1">
      <c r="C87" s="87"/>
      <c r="F87" s="73"/>
      <c r="G87" s="191"/>
      <c r="H87" s="191"/>
      <c r="I87" s="139"/>
      <c r="J87" s="192"/>
      <c r="K87" s="192"/>
      <c r="L87" s="192"/>
      <c r="M87" s="192"/>
    </row>
    <row r="88" spans="2:13" ht="18.75" customHeight="1">
      <c r="B88" s="193" t="s">
        <v>57</v>
      </c>
      <c r="C88" s="194"/>
      <c r="D88" s="148">
        <v>300.92</v>
      </c>
      <c r="E88" s="74"/>
      <c r="F88" s="140"/>
      <c r="G88" s="189"/>
      <c r="H88" s="189"/>
      <c r="I88" s="141"/>
      <c r="J88" s="192"/>
      <c r="K88" s="192"/>
      <c r="L88" s="192"/>
      <c r="M88" s="192"/>
    </row>
    <row r="89" spans="6:12" ht="9.75" customHeight="1">
      <c r="F89" s="73"/>
      <c r="G89" s="189"/>
      <c r="H89" s="189"/>
      <c r="I89" s="73"/>
      <c r="J89" s="74"/>
      <c r="K89" s="74"/>
      <c r="L89" s="74"/>
    </row>
    <row r="90" spans="2:12" ht="22.5" customHeight="1" hidden="1">
      <c r="B90" s="187" t="s">
        <v>60</v>
      </c>
      <c r="C90" s="188"/>
      <c r="D90" s="86">
        <v>0</v>
      </c>
      <c r="E90" s="56" t="s">
        <v>24</v>
      </c>
      <c r="F90" s="73"/>
      <c r="G90" s="189"/>
      <c r="H90" s="18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189"/>
      <c r="O91" s="189"/>
    </row>
    <row r="92" spans="4:15" ht="15">
      <c r="D92" s="83"/>
      <c r="I92" s="31"/>
      <c r="N92" s="190"/>
      <c r="O92" s="190"/>
    </row>
    <row r="93" spans="14:15" ht="15">
      <c r="N93" s="189"/>
      <c r="O93" s="18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9" sqref="G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09" t="s">
        <v>114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92"/>
      <c r="R1" s="93"/>
    </row>
    <row r="2" spans="2:18" s="1" customFormat="1" ht="15.75" customHeight="1">
      <c r="B2" s="210"/>
      <c r="C2" s="210"/>
      <c r="D2" s="210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11"/>
      <c r="B3" s="213" t="s">
        <v>136</v>
      </c>
      <c r="C3" s="214" t="s">
        <v>0</v>
      </c>
      <c r="D3" s="215" t="s">
        <v>115</v>
      </c>
      <c r="E3" s="34"/>
      <c r="F3" s="216" t="s">
        <v>26</v>
      </c>
      <c r="G3" s="217"/>
      <c r="H3" s="217"/>
      <c r="I3" s="217"/>
      <c r="J3" s="218"/>
      <c r="K3" s="89"/>
      <c r="L3" s="89"/>
      <c r="M3" s="223" t="s">
        <v>107</v>
      </c>
      <c r="N3" s="220" t="s">
        <v>66</v>
      </c>
      <c r="O3" s="220"/>
      <c r="P3" s="220"/>
      <c r="Q3" s="220"/>
      <c r="R3" s="220"/>
    </row>
    <row r="4" spans="1:18" ht="22.5" customHeight="1">
      <c r="A4" s="211"/>
      <c r="B4" s="213"/>
      <c r="C4" s="214"/>
      <c r="D4" s="215"/>
      <c r="E4" s="221" t="s">
        <v>104</v>
      </c>
      <c r="F4" s="226" t="s">
        <v>34</v>
      </c>
      <c r="G4" s="197" t="s">
        <v>109</v>
      </c>
      <c r="H4" s="205" t="s">
        <v>110</v>
      </c>
      <c r="I4" s="197" t="s">
        <v>105</v>
      </c>
      <c r="J4" s="205" t="s">
        <v>106</v>
      </c>
      <c r="K4" s="91" t="s">
        <v>65</v>
      </c>
      <c r="L4" s="96" t="s">
        <v>64</v>
      </c>
      <c r="M4" s="205"/>
      <c r="N4" s="224" t="s">
        <v>103</v>
      </c>
      <c r="O4" s="197" t="s">
        <v>50</v>
      </c>
      <c r="P4" s="199" t="s">
        <v>49</v>
      </c>
      <c r="Q4" s="97" t="s">
        <v>65</v>
      </c>
      <c r="R4" s="98" t="s">
        <v>64</v>
      </c>
    </row>
    <row r="5" spans="1:18" ht="76.5" customHeight="1">
      <c r="A5" s="212"/>
      <c r="B5" s="213"/>
      <c r="C5" s="214"/>
      <c r="D5" s="215"/>
      <c r="E5" s="222"/>
      <c r="F5" s="227"/>
      <c r="G5" s="198"/>
      <c r="H5" s="206"/>
      <c r="I5" s="198"/>
      <c r="J5" s="206"/>
      <c r="K5" s="200" t="s">
        <v>108</v>
      </c>
      <c r="L5" s="201"/>
      <c r="M5" s="206"/>
      <c r="N5" s="225"/>
      <c r="O5" s="198"/>
      <c r="P5" s="199"/>
      <c r="Q5" s="200" t="s">
        <v>126</v>
      </c>
      <c r="R5" s="20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2"/>
      <c r="H82" s="202"/>
      <c r="I82" s="202"/>
      <c r="J82" s="20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195"/>
      <c r="O83" s="195"/>
    </row>
    <row r="84" spans="3:15" ht="15">
      <c r="C84" s="87">
        <v>42397</v>
      </c>
      <c r="D84" s="31">
        <v>8685</v>
      </c>
      <c r="F84" s="166" t="s">
        <v>59</v>
      </c>
      <c r="G84" s="189"/>
      <c r="H84" s="189"/>
      <c r="I84" s="131"/>
      <c r="J84" s="192"/>
      <c r="K84" s="192"/>
      <c r="L84" s="192"/>
      <c r="M84" s="192"/>
      <c r="N84" s="195"/>
      <c r="O84" s="195"/>
    </row>
    <row r="85" spans="3:15" ht="15.75" customHeight="1">
      <c r="C85" s="87">
        <v>42396</v>
      </c>
      <c r="D85" s="31">
        <v>4820.3</v>
      </c>
      <c r="F85" s="167"/>
      <c r="G85" s="189"/>
      <c r="H85" s="189"/>
      <c r="I85" s="131"/>
      <c r="J85" s="196"/>
      <c r="K85" s="196"/>
      <c r="L85" s="196"/>
      <c r="M85" s="196"/>
      <c r="N85" s="195"/>
      <c r="O85" s="195"/>
    </row>
    <row r="86" spans="3:13" ht="15.75" customHeight="1">
      <c r="C86" s="87"/>
      <c r="F86" s="167"/>
      <c r="G86" s="191"/>
      <c r="H86" s="191"/>
      <c r="I86" s="139"/>
      <c r="J86" s="192"/>
      <c r="K86" s="192"/>
      <c r="L86" s="192"/>
      <c r="M86" s="192"/>
    </row>
    <row r="87" spans="2:13" ht="18.75" customHeight="1">
      <c r="B87" s="193" t="s">
        <v>57</v>
      </c>
      <c r="C87" s="194"/>
      <c r="D87" s="148">
        <v>300.92</v>
      </c>
      <c r="E87" s="74"/>
      <c r="F87" s="168"/>
      <c r="G87" s="189"/>
      <c r="H87" s="189"/>
      <c r="I87" s="141"/>
      <c r="J87" s="192"/>
      <c r="K87" s="192"/>
      <c r="L87" s="192"/>
      <c r="M87" s="192"/>
    </row>
    <row r="88" spans="6:12" ht="9.75" customHeight="1">
      <c r="F88" s="167"/>
      <c r="G88" s="189"/>
      <c r="H88" s="189"/>
      <c r="I88" s="73"/>
      <c r="J88" s="74"/>
      <c r="K88" s="74"/>
      <c r="L88" s="74"/>
    </row>
    <row r="89" spans="2:12" ht="22.5" customHeight="1" hidden="1">
      <c r="B89" s="187" t="s">
        <v>60</v>
      </c>
      <c r="C89" s="188"/>
      <c r="D89" s="86">
        <v>0</v>
      </c>
      <c r="E89" s="56" t="s">
        <v>24</v>
      </c>
      <c r="F89" s="167"/>
      <c r="G89" s="189"/>
      <c r="H89" s="18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189"/>
      <c r="O90" s="189"/>
    </row>
    <row r="91" spans="4:15" ht="15">
      <c r="D91" s="83"/>
      <c r="I91" s="31"/>
      <c r="N91" s="190"/>
      <c r="O91" s="190"/>
    </row>
    <row r="92" spans="14:15" ht="15">
      <c r="N92" s="189"/>
      <c r="O92" s="189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2016-04-04T08:53:03Z</cp:lastPrinted>
  <dcterms:created xsi:type="dcterms:W3CDTF">2003-07-28T11:27:56Z</dcterms:created>
  <dcterms:modified xsi:type="dcterms:W3CDTF">2016-04-04T13:03:34Z</dcterms:modified>
  <cp:category/>
  <cp:version/>
  <cp:contentType/>
  <cp:contentStatus/>
</cp:coreProperties>
</file>